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3020"/>
  </bookViews>
  <sheets>
    <sheet name="Line Voltage Lamps" sheetId="2" r:id="rId1"/>
    <sheet name="Low Voltage MR16 Lamps" sheetId="1" r:id="rId2"/>
  </sheets>
  <calcPr calcId="152511"/>
</workbook>
</file>

<file path=xl/calcChain.xml><?xml version="1.0" encoding="utf-8"?>
<calcChain xmlns="http://schemas.openxmlformats.org/spreadsheetml/2006/main">
  <c r="D12" i="2" l="1"/>
  <c r="D9" i="1" l="1"/>
  <c r="D8" i="1"/>
  <c r="D9" i="2"/>
  <c r="D11" i="1"/>
  <c r="C15" i="2" l="1"/>
  <c r="G15" i="2" s="1"/>
  <c r="D10" i="2" l="1"/>
  <c r="D15" i="1" l="1"/>
  <c r="H15" i="2"/>
  <c r="K15" i="2" s="1"/>
  <c r="B12" i="2" s="1"/>
  <c r="E15" i="1"/>
  <c r="D15" i="2"/>
  <c r="E15" i="2"/>
  <c r="G15" i="1" l="1"/>
  <c r="H15" i="1" s="1"/>
  <c r="K15" i="1" s="1"/>
  <c r="B11" i="1" s="1"/>
  <c r="J15" i="2"/>
  <c r="J15" i="1" l="1"/>
</calcChain>
</file>

<file path=xl/sharedStrings.xml><?xml version="1.0" encoding="utf-8"?>
<sst xmlns="http://schemas.openxmlformats.org/spreadsheetml/2006/main" count="81" uniqueCount="49">
  <si>
    <t>Term</t>
  </si>
  <si>
    <t>Coefficient</t>
  </si>
  <si>
    <t>Watts</t>
  </si>
  <si>
    <t>Beam Angle</t>
  </si>
  <si>
    <t>Predicted CBCP</t>
  </si>
  <si>
    <t>CBCP        Two-sigma  Lower Bound</t>
  </si>
  <si>
    <t>Intercept</t>
  </si>
  <si>
    <t>Log CBCP Two-sigma Lower Bound</t>
  </si>
  <si>
    <t>Predicted Log CBCP</t>
  </si>
  <si>
    <r>
      <t>Watts</t>
    </r>
    <r>
      <rPr>
        <vertAlign val="superscript"/>
        <sz val="9"/>
        <rFont val="Arial"/>
        <family val="2"/>
      </rPr>
      <t>2</t>
    </r>
  </si>
  <si>
    <r>
      <t>Beam Angle</t>
    </r>
    <r>
      <rPr>
        <vertAlign val="superscript"/>
        <sz val="9"/>
        <rFont val="Arial"/>
        <family val="2"/>
      </rPr>
      <t>2</t>
    </r>
  </si>
  <si>
    <t>Nominal Wattage</t>
  </si>
  <si>
    <t xml:space="preserve">Minimum Center Beam Intensity: </t>
  </si>
  <si>
    <t>cd</t>
  </si>
  <si>
    <t>Root Mean Square Error</t>
  </si>
  <si>
    <t>watts</t>
  </si>
  <si>
    <t>degrees</t>
  </si>
  <si>
    <t>Target Incandescent/Halogen Lamp Parameters</t>
  </si>
  <si>
    <t>Target Halogen Lamp Parameters</t>
  </si>
  <si>
    <t>Permitted Wattages</t>
  </si>
  <si>
    <t>40, 45, 50, 60, 75</t>
  </si>
  <si>
    <t>50, 75</t>
  </si>
  <si>
    <t>Diameter</t>
  </si>
  <si>
    <t>30S</t>
  </si>
  <si>
    <t>30L</t>
  </si>
  <si>
    <t>Enter Nominal Lamp Wattage*:</t>
  </si>
  <si>
    <t>Enter Nominal Beam Angle**:</t>
  </si>
  <si>
    <t>Only the wattages listed below can be entered as the nominal lamp wattage for each respective diameter.</t>
  </si>
  <si>
    <t xml:space="preserve">  See Table 1 in Part II - Lamp Classes.</t>
  </si>
  <si>
    <t xml:space="preserve">**Nominal beam angle per ANSI C78.379-2006: American National Standard for Electric Lamps - Classification of the Beam Patterns of Reflector Lamps. </t>
  </si>
  <si>
    <t xml:space="preserve">   See Section 4.1 Nominal beam angle classifications, and Section 4.3 Beam angle tolerance of PAR and R lamps.</t>
  </si>
  <si>
    <r>
      <t>*Only the following nominal lamp wattages can be entered:</t>
    </r>
    <r>
      <rPr>
        <b/>
        <sz val="9"/>
        <rFont val="Arial"/>
        <family val="2"/>
      </rPr>
      <t xml:space="preserve"> 20, 30, 35, 37, 42, 50, 65, 71, 75.</t>
    </r>
  </si>
  <si>
    <t>40, 45, 50, 55, 60, 65, 75, 85, 90, 100, 120, 150, 250</t>
  </si>
  <si>
    <t>20, 35, 40, 45, 50, 60, 75</t>
  </si>
  <si>
    <t>Line Voltage PAR and MR Lamps</t>
  </si>
  <si>
    <t>Diameter*Watts</t>
  </si>
  <si>
    <t>Diameter*Beam Angle</t>
  </si>
  <si>
    <r>
      <t>Diameter</t>
    </r>
    <r>
      <rPr>
        <vertAlign val="superscript"/>
        <sz val="9"/>
        <rFont val="Arial"/>
        <family val="2"/>
      </rPr>
      <t>2</t>
    </r>
  </si>
  <si>
    <t>PAR/MR Diameter</t>
  </si>
  <si>
    <t>Low Voltage MR16 Lamps</t>
  </si>
  <si>
    <t>Lamp Class</t>
  </si>
  <si>
    <r>
      <t xml:space="preserve">lamp diameter in </t>
    </r>
    <r>
      <rPr>
        <sz val="10"/>
        <color indexed="8"/>
        <rFont val="Arial"/>
        <family val="2"/>
      </rPr>
      <t xml:space="preserve">⅛ </t>
    </r>
    <r>
      <rPr>
        <sz val="10"/>
        <color theme="1"/>
        <rFont val="Arial"/>
        <family val="2"/>
      </rPr>
      <t>of an inch</t>
    </r>
  </si>
  <si>
    <t>Enter PAR/MR Lamp Class:</t>
  </si>
  <si>
    <t xml:space="preserve">**Nominal beam angle to which partner is claiming equivalency, per ANSI C78.379-2006: American National Standard for Electric Lamps - Classification of the Beam Patterns of Reflector Lamps. </t>
  </si>
  <si>
    <t>*Nominal wattage to which partner is claiming equivalency, per ANSI C78.21-2011: American National Standard - Incandescent lamps: PAR and R Shapes.</t>
  </si>
  <si>
    <t>Wattage Input Error Checking</t>
  </si>
  <si>
    <t>ValidationBAng</t>
  </si>
  <si>
    <t>ENERGY STAR® Lamps Center Beam Intensity Benchmark Tool</t>
  </si>
  <si>
    <t>(Revised 9/1/2016)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</si>
</sst>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3" borderId="3" applyNumberFormat="0" applyAlignment="0" applyProtection="0"/>
    <xf numFmtId="0" fontId="10" fillId="4" borderId="0" applyNumberFormat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0" borderId="1" xfId="3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3" fillId="0" borderId="1" xfId="3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4" applyFont="1"/>
    <xf numFmtId="164" fontId="3" fillId="0" borderId="1" xfId="3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4" applyFont="1"/>
    <xf numFmtId="0" fontId="14" fillId="0" borderId="0" xfId="0" applyFont="1"/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Protection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1" xfId="0" applyFont="1" applyBorder="1" applyAlignment="1">
      <alignment horizontal="center"/>
    </xf>
    <xf numFmtId="0" fontId="19" fillId="0" borderId="0" xfId="0" applyFont="1"/>
    <xf numFmtId="1" fontId="16" fillId="0" borderId="0" xfId="0" applyNumberFormat="1" applyFont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17" fillId="5" borderId="1" xfId="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0" fillId="3" borderId="3" xfId="1" applyNumberFormat="1" applyFont="1" applyAlignment="1" applyProtection="1">
      <alignment horizontal="center" vertical="top" wrapText="1"/>
      <protection locked="0"/>
    </xf>
    <xf numFmtId="0" fontId="18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6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1" fontId="16" fillId="8" borderId="0" xfId="0" applyNumberFormat="1" applyFont="1" applyFill="1" applyAlignment="1">
      <alignment horizontal="left" vertical="center" wrapText="1"/>
    </xf>
    <xf numFmtId="0" fontId="0" fillId="8" borderId="0" xfId="0" applyFill="1" applyAlignment="1">
      <alignment wrapText="1"/>
    </xf>
    <xf numFmtId="0" fontId="0" fillId="8" borderId="4" xfId="0" applyFill="1" applyBorder="1" applyAlignment="1">
      <alignment wrapText="1"/>
    </xf>
    <xf numFmtId="1" fontId="16" fillId="8" borderId="0" xfId="0" applyNumberFormat="1" applyFont="1" applyFill="1" applyBorder="1" applyAlignment="1">
      <alignment horizontal="left" vertical="center" wrapText="1"/>
    </xf>
    <xf numFmtId="0" fontId="0" fillId="8" borderId="0" xfId="0" applyFill="1" applyBorder="1" applyAlignment="1">
      <alignment wrapText="1"/>
    </xf>
    <xf numFmtId="0" fontId="18" fillId="6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">
    <cellStyle name="Calculation" xfId="1" builtinId="22"/>
    <cellStyle name="Good" xfId="2" builtinId="26"/>
    <cellStyle name="Normal" xfId="0" builtinId="0"/>
    <cellStyle name="Normal 2" xfId="3"/>
    <cellStyle name="Normal_ESIntLampCenterBeamTool_5_19" xfId="4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15</xdr:row>
      <xdr:rowOff>76200</xdr:rowOff>
    </xdr:from>
    <xdr:to>
      <xdr:col>4</xdr:col>
      <xdr:colOff>47625</xdr:colOff>
      <xdr:row>24</xdr:row>
      <xdr:rowOff>16969</xdr:rowOff>
    </xdr:to>
    <xdr:pic>
      <xdr:nvPicPr>
        <xdr:cNvPr id="4" name="Picture 3" descr="ENE_LM_c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2952750"/>
          <a:ext cx="1400175" cy="1663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262467</xdr:colOff>
      <xdr:row>1</xdr:row>
      <xdr:rowOff>176622</xdr:rowOff>
    </xdr:from>
    <xdr:to>
      <xdr:col>10</xdr:col>
      <xdr:colOff>524933</xdr:colOff>
      <xdr:row>6</xdr:row>
      <xdr:rowOff>244716</xdr:rowOff>
    </xdr:to>
    <xdr:pic>
      <xdr:nvPicPr>
        <xdr:cNvPr id="4" name="Picture 3" descr="ENE_LM_c_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2102" y="469699"/>
          <a:ext cx="2673023" cy="77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abSelected="1" zoomScale="130" zoomScaleNormal="130" workbookViewId="0">
      <selection activeCell="B8" sqref="B8"/>
    </sheetView>
  </sheetViews>
  <sheetFormatPr defaultRowHeight="15" x14ac:dyDescent="0.25"/>
  <cols>
    <col min="1" max="1" width="31.28515625" customWidth="1"/>
    <col min="2" max="2" width="12.5703125" customWidth="1"/>
    <col min="4" max="4" width="12.42578125" bestFit="1" customWidth="1"/>
    <col min="6" max="6" width="1.7109375" customWidth="1"/>
    <col min="7" max="7" width="11.85546875" customWidth="1"/>
    <col min="8" max="8" width="10.7109375" customWidth="1"/>
    <col min="9" max="9" width="1.7109375" customWidth="1"/>
    <col min="10" max="10" width="12.5703125" bestFit="1" customWidth="1"/>
    <col min="11" max="11" width="10.7109375" customWidth="1"/>
    <col min="12" max="12" width="9.7109375" customWidth="1"/>
    <col min="14" max="14" width="14" customWidth="1"/>
    <col min="15" max="15" width="11" bestFit="1" customWidth="1"/>
    <col min="17" max="17" width="9.140625" hidden="1" customWidth="1"/>
  </cols>
  <sheetData>
    <row r="1" spans="1:17" ht="23.25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7" x14ac:dyDescent="0.2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0"/>
      <c r="M2" s="20"/>
      <c r="N2" s="20"/>
    </row>
    <row r="3" spans="1:17" ht="4.9000000000000004" customHeight="1" x14ac:dyDescent="0.25"/>
    <row r="4" spans="1:17" x14ac:dyDescent="0.25">
      <c r="A4" s="19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ht="7.15" customHeigh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ht="14.45" customHeight="1" x14ac:dyDescent="0.25">
      <c r="A6" s="21" t="s">
        <v>17</v>
      </c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ht="4.1500000000000004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5">
      <c r="A8" s="34" t="s">
        <v>42</v>
      </c>
      <c r="B8" s="35">
        <v>38</v>
      </c>
      <c r="C8" s="20" t="s">
        <v>41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Q8" t="s">
        <v>46</v>
      </c>
    </row>
    <row r="9" spans="1:17" ht="15" customHeight="1" x14ac:dyDescent="0.25">
      <c r="A9" s="34" t="s">
        <v>25</v>
      </c>
      <c r="B9" s="35">
        <v>250</v>
      </c>
      <c r="C9" s="20" t="s">
        <v>15</v>
      </c>
      <c r="D9" s="43" t="str">
        <f ca="1">IF(ISNA(MATCH(B9,OFFSET(C43,MATCH(B8,A43:A47,0)-1,0,1,13),0)), "WARNING, Please use nominal wattages listed in Table 1 for selected lamp class.","")</f>
        <v/>
      </c>
      <c r="E9" s="43"/>
      <c r="F9" s="43"/>
      <c r="G9" s="43"/>
      <c r="H9" s="43"/>
      <c r="I9" s="43"/>
      <c r="J9" s="43"/>
      <c r="K9" s="43"/>
      <c r="L9" s="20"/>
      <c r="M9" s="20"/>
      <c r="N9" s="20"/>
      <c r="Q9">
        <v>8</v>
      </c>
    </row>
    <row r="10" spans="1:17" ht="14.45" customHeight="1" x14ac:dyDescent="0.25">
      <c r="A10" s="34" t="s">
        <v>26</v>
      </c>
      <c r="B10" s="35">
        <v>65</v>
      </c>
      <c r="C10" s="20" t="s">
        <v>16</v>
      </c>
      <c r="D10" s="48" t="str">
        <f>IF(AND(B9&gt;=20, B9&lt;=250), "","The lamp wattage entered is outside the range that can be calculated. Please enter a nominal lamp wattage in accordance with the table below and between 40 and 250.")</f>
        <v/>
      </c>
      <c r="E10" s="49"/>
      <c r="F10" s="49"/>
      <c r="G10" s="49"/>
      <c r="H10" s="49"/>
      <c r="I10" s="49"/>
      <c r="J10" s="49"/>
      <c r="K10" s="49"/>
      <c r="L10" s="20"/>
      <c r="M10" s="20"/>
      <c r="N10" s="20"/>
      <c r="Q10">
        <v>9</v>
      </c>
    </row>
    <row r="11" spans="1:17" ht="30.6" customHeight="1" x14ac:dyDescent="0.25">
      <c r="A11" s="22"/>
      <c r="B11" s="23"/>
      <c r="C11" s="20"/>
      <c r="D11" s="49"/>
      <c r="E11" s="49"/>
      <c r="F11" s="49"/>
      <c r="G11" s="49"/>
      <c r="H11" s="49"/>
      <c r="I11" s="49"/>
      <c r="J11" s="49"/>
      <c r="K11" s="49"/>
      <c r="L11" s="20"/>
      <c r="M11" s="20"/>
      <c r="N11" s="20"/>
      <c r="Q11">
        <v>10</v>
      </c>
    </row>
    <row r="12" spans="1:17" ht="16.5" customHeight="1" x14ac:dyDescent="0.25">
      <c r="A12" s="24" t="s">
        <v>12</v>
      </c>
      <c r="B12" s="33">
        <f ca="1">IF(AND(B10&lt;=65,B10&gt;=8, B9&lt;=250, B9&gt;=20, D9=""),K15,"See note")</f>
        <v>1815.3791083290437</v>
      </c>
      <c r="C12" s="25" t="s">
        <v>13</v>
      </c>
      <c r="D12" s="45" t="str">
        <f>IF(AND(B10&gt;=8, B10&lt;=65), "","The beam angle entered is outside the range that can be calculated. Please enter a beam angle between 8° and 65°.")</f>
        <v/>
      </c>
      <c r="E12" s="46"/>
      <c r="F12" s="46"/>
      <c r="G12" s="46"/>
      <c r="H12" s="46"/>
      <c r="I12" s="46"/>
      <c r="J12" s="46"/>
      <c r="K12" s="46"/>
      <c r="L12" s="30"/>
      <c r="M12" s="30"/>
      <c r="N12" s="30"/>
      <c r="Q12">
        <v>11</v>
      </c>
    </row>
    <row r="13" spans="1:17" x14ac:dyDescent="0.25">
      <c r="D13" s="47"/>
      <c r="E13" s="47"/>
      <c r="F13" s="47"/>
      <c r="G13" s="47"/>
      <c r="H13" s="47"/>
      <c r="I13" s="47"/>
      <c r="J13" s="47"/>
      <c r="K13" s="47"/>
      <c r="Q13">
        <v>12</v>
      </c>
    </row>
    <row r="14" spans="1:17" ht="48" x14ac:dyDescent="0.25">
      <c r="A14" s="38" t="s">
        <v>0</v>
      </c>
      <c r="B14" s="38" t="s">
        <v>1</v>
      </c>
      <c r="C14" s="39" t="s">
        <v>38</v>
      </c>
      <c r="D14" s="39" t="s">
        <v>11</v>
      </c>
      <c r="E14" s="39" t="s">
        <v>3</v>
      </c>
      <c r="F14" s="38"/>
      <c r="G14" s="39" t="s">
        <v>8</v>
      </c>
      <c r="H14" s="39" t="s">
        <v>7</v>
      </c>
      <c r="I14" s="38"/>
      <c r="J14" s="39" t="s">
        <v>4</v>
      </c>
      <c r="K14" s="39" t="s">
        <v>5</v>
      </c>
      <c r="Q14">
        <v>15</v>
      </c>
    </row>
    <row r="15" spans="1:17" x14ac:dyDescent="0.25">
      <c r="A15" s="6" t="s">
        <v>6</v>
      </c>
      <c r="B15" s="7">
        <v>5.5102111999999996</v>
      </c>
      <c r="C15" s="41">
        <f ca="1">OFFSET($B$32,MATCH($B$8,$A$32:$A$36,0)-1,0,1,1)</f>
        <v>38</v>
      </c>
      <c r="D15" s="28">
        <f>IF(B9&lt;=250, B9, "ERROR")</f>
        <v>250</v>
      </c>
      <c r="E15" s="28">
        <f>IF(B10&lt;=65, B10, "ERROR")</f>
        <v>65</v>
      </c>
      <c r="F15" s="1"/>
      <c r="G15" s="16">
        <f ca="1">IF(B10&lt;=65,B15+(B16*C15)+(B17*B9)+(B18*B10)+B19*(C15*B9)+B20*(C15*B10)+B21*(C15^2)+B22*(B9^2)+B23*(B10^2),"--")</f>
        <v>7.8062756000000029</v>
      </c>
      <c r="H15" s="16">
        <f ca="1">IF(B10&lt;=65, G15-2*B24, "--")</f>
        <v>7.5040496000000028</v>
      </c>
      <c r="I15" s="1"/>
      <c r="J15" s="32">
        <f ca="1">IF(B10&lt;=65, EXP(G15), "--")</f>
        <v>2455.9663793902951</v>
      </c>
      <c r="K15" s="32">
        <f ca="1">IF(B10&lt;=65, EXP(H15), "--")</f>
        <v>1815.3791083290437</v>
      </c>
      <c r="Q15">
        <v>20</v>
      </c>
    </row>
    <row r="16" spans="1:17" x14ac:dyDescent="0.25">
      <c r="A16" s="6" t="s">
        <v>22</v>
      </c>
      <c r="B16" s="7">
        <v>0.1395448</v>
      </c>
      <c r="C16" s="4"/>
      <c r="D16" s="4"/>
      <c r="E16" s="4"/>
      <c r="F16" s="4"/>
      <c r="G16" s="4"/>
      <c r="H16" s="4"/>
      <c r="I16" s="4"/>
      <c r="J16" s="29"/>
      <c r="K16" s="29"/>
      <c r="L16" s="3"/>
      <c r="Q16">
        <v>25</v>
      </c>
    </row>
    <row r="17" spans="1:17" x14ac:dyDescent="0.25">
      <c r="A17" s="6" t="s">
        <v>2</v>
      </c>
      <c r="B17" s="7">
        <v>4.4872500000000003E-2</v>
      </c>
      <c r="C17" s="4"/>
      <c r="D17" s="4"/>
      <c r="E17" s="4"/>
      <c r="F17" s="4"/>
      <c r="G17" s="4"/>
      <c r="H17" s="4"/>
      <c r="I17" s="4"/>
      <c r="J17" s="4"/>
      <c r="K17" s="4"/>
      <c r="L17" s="3"/>
      <c r="Q17">
        <v>30</v>
      </c>
    </row>
    <row r="18" spans="1:17" x14ac:dyDescent="0.25">
      <c r="A18" s="6" t="s">
        <v>3</v>
      </c>
      <c r="B18" s="7">
        <v>-8.8493000000000002E-2</v>
      </c>
      <c r="C18" s="4"/>
      <c r="D18" s="4"/>
      <c r="E18" s="4"/>
      <c r="F18" s="4"/>
      <c r="G18" s="4"/>
      <c r="H18" s="4"/>
      <c r="I18" s="4"/>
      <c r="J18" s="4"/>
      <c r="K18" s="4"/>
      <c r="L18" s="3"/>
      <c r="Q18">
        <v>35</v>
      </c>
    </row>
    <row r="19" spans="1:17" x14ac:dyDescent="0.25">
      <c r="A19" s="6" t="s">
        <v>35</v>
      </c>
      <c r="B19" s="7">
        <v>-5.2099999999999998E-4</v>
      </c>
      <c r="C19" s="4"/>
      <c r="D19" s="4"/>
      <c r="E19" s="4"/>
      <c r="F19" s="4"/>
      <c r="G19" s="4"/>
      <c r="H19" s="4"/>
      <c r="I19" s="4"/>
      <c r="J19" s="4"/>
      <c r="K19" s="4"/>
      <c r="L19" s="3"/>
      <c r="Q19">
        <v>40</v>
      </c>
    </row>
    <row r="20" spans="1:17" x14ac:dyDescent="0.25">
      <c r="A20" s="6" t="s">
        <v>36</v>
      </c>
      <c r="B20" s="7">
        <v>-7.1900000000000002E-4</v>
      </c>
      <c r="C20" s="4"/>
      <c r="D20" s="4"/>
      <c r="E20" s="4"/>
      <c r="F20" s="4"/>
      <c r="G20" s="4"/>
      <c r="H20" s="4"/>
      <c r="I20" s="4"/>
      <c r="J20" s="4"/>
      <c r="K20" s="4"/>
      <c r="L20" s="3"/>
      <c r="Q20">
        <v>45</v>
      </c>
    </row>
    <row r="21" spans="1:17" x14ac:dyDescent="0.25">
      <c r="A21" s="6" t="s">
        <v>37</v>
      </c>
      <c r="B21" s="7">
        <v>-1.1919999999999999E-3</v>
      </c>
      <c r="C21" s="4"/>
      <c r="D21" s="4"/>
      <c r="E21" s="4"/>
      <c r="F21" s="4"/>
      <c r="G21" s="4"/>
      <c r="H21" s="4"/>
      <c r="I21" s="4"/>
      <c r="J21" s="4"/>
      <c r="K21" s="4"/>
      <c r="L21" s="3"/>
      <c r="Q21">
        <v>50</v>
      </c>
    </row>
    <row r="22" spans="1:17" x14ac:dyDescent="0.25">
      <c r="A22" s="6" t="s">
        <v>9</v>
      </c>
      <c r="B22" s="7">
        <v>-5.9809999999999998E-5</v>
      </c>
      <c r="C22" s="4"/>
      <c r="D22" s="4"/>
      <c r="E22" s="4"/>
      <c r="F22" s="4"/>
      <c r="G22" s="4"/>
      <c r="H22" s="4"/>
      <c r="I22" s="4"/>
      <c r="J22" s="4"/>
      <c r="K22" s="4"/>
      <c r="L22" s="3"/>
      <c r="Q22">
        <v>60</v>
      </c>
    </row>
    <row r="23" spans="1:17" x14ac:dyDescent="0.25">
      <c r="A23" s="6" t="s">
        <v>10</v>
      </c>
      <c r="B23" s="7">
        <v>8.786E-4</v>
      </c>
      <c r="C23" s="4"/>
      <c r="D23" s="4"/>
      <c r="E23" s="4"/>
      <c r="F23" s="4"/>
      <c r="G23" s="4"/>
      <c r="H23" s="4"/>
      <c r="I23" s="4"/>
      <c r="J23" s="4"/>
      <c r="K23" s="4"/>
      <c r="L23" s="3"/>
    </row>
    <row r="24" spans="1:17" x14ac:dyDescent="0.25">
      <c r="A24" s="8" t="s">
        <v>14</v>
      </c>
      <c r="B24" s="9">
        <v>0.151113</v>
      </c>
      <c r="C24" s="4"/>
      <c r="D24" s="4"/>
      <c r="E24" s="4"/>
      <c r="F24" s="4"/>
      <c r="G24" s="4"/>
      <c r="H24" s="4"/>
      <c r="I24" s="4"/>
      <c r="J24" s="4"/>
      <c r="K24" s="4"/>
      <c r="L24" s="3"/>
    </row>
    <row r="25" spans="1:17" ht="7.15" customHeight="1" x14ac:dyDescent="0.25">
      <c r="A25" s="10"/>
      <c r="B25" s="11"/>
      <c r="C25" s="4"/>
      <c r="D25" s="4"/>
      <c r="E25" s="4"/>
      <c r="F25" s="4"/>
      <c r="G25" s="4"/>
      <c r="H25" s="4"/>
      <c r="I25" s="4"/>
      <c r="J25" s="4"/>
      <c r="K25" s="3"/>
      <c r="L25" s="3"/>
    </row>
    <row r="26" spans="1:17" x14ac:dyDescent="0.25">
      <c r="A26" s="15" t="s">
        <v>44</v>
      </c>
      <c r="B26" s="4"/>
      <c r="C26" s="4"/>
      <c r="D26" s="4"/>
      <c r="E26" s="4"/>
      <c r="F26" s="4"/>
      <c r="G26" s="4"/>
      <c r="H26" s="4"/>
      <c r="I26" s="4"/>
      <c r="J26" s="4"/>
      <c r="K26" s="3"/>
      <c r="L26" s="3"/>
    </row>
    <row r="27" spans="1:17" x14ac:dyDescent="0.25">
      <c r="A27" s="15"/>
      <c r="B27" s="4"/>
      <c r="C27" s="4"/>
      <c r="D27" s="4"/>
      <c r="E27" s="4"/>
      <c r="F27" s="4"/>
      <c r="G27" s="4"/>
      <c r="H27" s="4"/>
      <c r="I27" s="4"/>
      <c r="J27" s="4"/>
      <c r="K27" s="3"/>
      <c r="L27" s="3"/>
    </row>
    <row r="28" spans="1:17" hidden="1" x14ac:dyDescent="0.25">
      <c r="A28" s="15" t="s">
        <v>28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7" ht="7.9" customHeight="1" x14ac:dyDescent="0.25">
      <c r="A29" s="15"/>
      <c r="B29" s="29"/>
      <c r="C29" s="29"/>
      <c r="D29" s="29"/>
      <c r="E29" s="29"/>
      <c r="F29" s="29"/>
      <c r="G29" s="29"/>
      <c r="H29" s="29"/>
      <c r="I29" s="29"/>
      <c r="J29" s="29"/>
    </row>
    <row r="30" spans="1:17" x14ac:dyDescent="0.25">
      <c r="A30" s="18" t="s">
        <v>27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7" x14ac:dyDescent="0.25">
      <c r="A31" s="37" t="s">
        <v>40</v>
      </c>
      <c r="B31" s="37" t="s">
        <v>22</v>
      </c>
      <c r="C31" s="51" t="s">
        <v>19</v>
      </c>
      <c r="D31" s="51"/>
      <c r="E31" s="51"/>
      <c r="F31" s="51"/>
      <c r="G31" s="51"/>
      <c r="H31" s="29"/>
      <c r="I31" s="29"/>
      <c r="J31" s="29"/>
      <c r="K31" s="29"/>
    </row>
    <row r="32" spans="1:17" x14ac:dyDescent="0.25">
      <c r="A32" s="36">
        <v>16</v>
      </c>
      <c r="B32" s="36">
        <v>16</v>
      </c>
      <c r="C32" s="50" t="s">
        <v>33</v>
      </c>
      <c r="D32" s="50"/>
      <c r="E32" s="50"/>
      <c r="F32" s="50"/>
      <c r="G32" s="50"/>
      <c r="H32" s="29"/>
      <c r="I32" s="29"/>
      <c r="J32" s="29"/>
      <c r="K32" s="29"/>
      <c r="M32" s="42"/>
    </row>
    <row r="33" spans="1:15" x14ac:dyDescent="0.25">
      <c r="A33" s="36">
        <v>20</v>
      </c>
      <c r="B33" s="36">
        <v>20</v>
      </c>
      <c r="C33" s="50">
        <v>50</v>
      </c>
      <c r="D33" s="50"/>
      <c r="E33" s="50"/>
      <c r="F33" s="50"/>
      <c r="G33" s="50"/>
      <c r="H33" s="29"/>
      <c r="I33" s="29"/>
      <c r="J33" s="29"/>
      <c r="K33" s="29"/>
    </row>
    <row r="34" spans="1:15" x14ac:dyDescent="0.25">
      <c r="A34" s="36" t="s">
        <v>23</v>
      </c>
      <c r="B34" s="36">
        <v>30</v>
      </c>
      <c r="C34" s="50" t="s">
        <v>20</v>
      </c>
      <c r="D34" s="50"/>
      <c r="E34" s="50"/>
      <c r="F34" s="50"/>
      <c r="G34" s="50"/>
      <c r="H34" s="29"/>
      <c r="I34" s="29"/>
      <c r="J34" s="29"/>
      <c r="K34" s="29"/>
    </row>
    <row r="35" spans="1:15" x14ac:dyDescent="0.25">
      <c r="A35" s="36" t="s">
        <v>24</v>
      </c>
      <c r="B35" s="36">
        <v>30</v>
      </c>
      <c r="C35" s="50" t="s">
        <v>21</v>
      </c>
      <c r="D35" s="50"/>
      <c r="E35" s="50"/>
      <c r="F35" s="50"/>
      <c r="G35" s="50"/>
      <c r="H35" s="29"/>
      <c r="I35" s="29"/>
      <c r="J35" s="29"/>
      <c r="K35" s="29"/>
    </row>
    <row r="36" spans="1:15" x14ac:dyDescent="0.25">
      <c r="A36" s="36">
        <v>38</v>
      </c>
      <c r="B36" s="36">
        <v>38</v>
      </c>
      <c r="C36" s="50" t="s">
        <v>32</v>
      </c>
      <c r="D36" s="50"/>
      <c r="E36" s="50"/>
      <c r="F36" s="50"/>
      <c r="G36" s="50"/>
      <c r="H36" s="29"/>
      <c r="I36" s="29"/>
      <c r="J36" s="29"/>
      <c r="K36" s="29"/>
    </row>
    <row r="37" spans="1:1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5" x14ac:dyDescent="0.25">
      <c r="A38" s="14" t="s">
        <v>43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5" x14ac:dyDescent="0.25">
      <c r="A39" s="15" t="s">
        <v>30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5" x14ac:dyDescent="0.25">
      <c r="A40" s="15"/>
      <c r="B40" s="29"/>
      <c r="C40" s="29"/>
      <c r="D40" s="29"/>
      <c r="E40" s="29"/>
      <c r="F40" s="29"/>
      <c r="G40" s="29"/>
      <c r="H40" s="29"/>
      <c r="I40" s="29"/>
      <c r="J40" s="29"/>
    </row>
    <row r="41" spans="1:15" hidden="1" x14ac:dyDescent="0.25">
      <c r="A41" t="s">
        <v>45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5" hidden="1" x14ac:dyDescent="0.25">
      <c r="A42" s="37" t="s">
        <v>40</v>
      </c>
      <c r="B42" s="37" t="s">
        <v>22</v>
      </c>
      <c r="C42" t="s">
        <v>19</v>
      </c>
    </row>
    <row r="43" spans="1:15" hidden="1" x14ac:dyDescent="0.25">
      <c r="A43" s="36">
        <v>16</v>
      </c>
      <c r="B43" s="36">
        <v>16</v>
      </c>
      <c r="C43">
        <v>20</v>
      </c>
      <c r="D43">
        <v>35</v>
      </c>
      <c r="E43">
        <v>40</v>
      </c>
      <c r="F43">
        <v>45</v>
      </c>
      <c r="G43">
        <v>50</v>
      </c>
      <c r="H43">
        <v>60</v>
      </c>
      <c r="I43">
        <v>75</v>
      </c>
    </row>
    <row r="44" spans="1:15" hidden="1" x14ac:dyDescent="0.25">
      <c r="A44" s="36">
        <v>20</v>
      </c>
      <c r="B44" s="36">
        <v>20</v>
      </c>
      <c r="C44">
        <v>50</v>
      </c>
    </row>
    <row r="45" spans="1:15" hidden="1" x14ac:dyDescent="0.25">
      <c r="A45" s="36" t="s">
        <v>23</v>
      </c>
      <c r="B45" s="36">
        <v>30</v>
      </c>
      <c r="C45">
        <v>40</v>
      </c>
      <c r="D45">
        <v>45</v>
      </c>
      <c r="E45">
        <v>50</v>
      </c>
      <c r="F45">
        <v>60</v>
      </c>
      <c r="G45">
        <v>75</v>
      </c>
    </row>
    <row r="46" spans="1:15" hidden="1" x14ac:dyDescent="0.25">
      <c r="A46" s="36" t="s">
        <v>24</v>
      </c>
      <c r="B46" s="36">
        <v>30</v>
      </c>
      <c r="C46">
        <v>50</v>
      </c>
      <c r="D46">
        <v>75</v>
      </c>
    </row>
    <row r="47" spans="1:15" hidden="1" x14ac:dyDescent="0.25">
      <c r="A47" s="36">
        <v>38</v>
      </c>
      <c r="B47" s="36">
        <v>38</v>
      </c>
      <c r="C47">
        <v>40</v>
      </c>
      <c r="D47">
        <v>45</v>
      </c>
      <c r="E47">
        <v>50</v>
      </c>
      <c r="F47">
        <v>55</v>
      </c>
      <c r="G47">
        <v>60</v>
      </c>
      <c r="H47">
        <v>65</v>
      </c>
      <c r="I47">
        <v>75</v>
      </c>
      <c r="J47">
        <v>85</v>
      </c>
      <c r="K47">
        <v>90</v>
      </c>
      <c r="L47">
        <v>100</v>
      </c>
      <c r="M47">
        <v>120</v>
      </c>
      <c r="N47">
        <v>150</v>
      </c>
      <c r="O47">
        <v>250</v>
      </c>
    </row>
  </sheetData>
  <sheetProtection algorithmName="SHA-512" hashValue="dLfR3zmC5H4aaDwOemQom/wtE+c/4sVAmbs2dnEjgNpZBngRWSuTMRx76YD9b2oaFtoTvI25jfKNkGk9JnD9sw==" saltValue="iRg/vlmXIqnATLJTEkKzfQ==" spinCount="100000" sheet="1" objects="1" scenarios="1" selectLockedCells="1"/>
  <mergeCells count="11">
    <mergeCell ref="D9:K9"/>
    <mergeCell ref="A1:K1"/>
    <mergeCell ref="D12:K13"/>
    <mergeCell ref="D10:K11"/>
    <mergeCell ref="C36:G36"/>
    <mergeCell ref="C35:G35"/>
    <mergeCell ref="C34:G34"/>
    <mergeCell ref="C33:G33"/>
    <mergeCell ref="C32:G32"/>
    <mergeCell ref="C31:G31"/>
    <mergeCell ref="A2:K2"/>
  </mergeCells>
  <conditionalFormatting sqref="B12">
    <cfRule type="containsText" dxfId="17" priority="10" operator="containsText" text="See note">
      <formula>NOT(ISERROR(SEARCH("See note",B12)))</formula>
    </cfRule>
    <cfRule type="containsText" dxfId="16" priority="13" operator="containsText" text="Beam angle too large for calculation">
      <formula>NOT(ISERROR(SEARCH("Beam angle too large for calculation",B12)))</formula>
    </cfRule>
  </conditionalFormatting>
  <conditionalFormatting sqref="D12">
    <cfRule type="containsText" dxfId="15" priority="12" operator="containsText" text="The beam angle entered is outside the range that can be calculated. Please enter a beam angle between 8° and 65°.">
      <formula>NOT(ISERROR(SEARCH("The beam angle entered is outside the range that can be calculated. Please enter a beam angle between 8° and 65°.",D12)))</formula>
    </cfRule>
  </conditionalFormatting>
  <conditionalFormatting sqref="H7">
    <cfRule type="containsText" dxfId="14" priority="11" operator="containsText" text="The beam angle entered is outside the range that can be calculated. Please enter a beam angle of 65° or smaller.">
      <formula>NOT(ISERROR(SEARCH("The beam angle entered is outside the range that can be calculated. Please enter a beam angle of 65° or smaller.",H7)))</formula>
    </cfRule>
  </conditionalFormatting>
  <conditionalFormatting sqref="B12">
    <cfRule type="containsText" dxfId="13" priority="9" operator="containsText" text="See Note">
      <formula>NOT(ISERROR(SEARCH("See Note",B12)))</formula>
    </cfRule>
  </conditionalFormatting>
  <conditionalFormatting sqref="E15">
    <cfRule type="containsText" dxfId="12" priority="7" operator="containsText" text="ERROR">
      <formula>NOT(ISERROR(SEARCH("ERROR",E15)))</formula>
    </cfRule>
  </conditionalFormatting>
  <conditionalFormatting sqref="D15">
    <cfRule type="containsText" dxfId="11" priority="5" operator="containsText" text="ERROR">
      <formula>NOT(ISERROR(SEARCH("ERROR",D15)))</formula>
    </cfRule>
  </conditionalFormatting>
  <conditionalFormatting sqref="D10">
    <cfRule type="containsText" dxfId="10" priority="3" operator="containsText" text="The beam angle entered is outside the range that can be calculated. Please enter a beam angle between 8° and 65°.">
      <formula>NOT(ISERROR(SEARCH("The beam angle entered is outside the range that can be calculated. Please enter a beam angle between 8° and 65°.",D10)))</formula>
    </cfRule>
  </conditionalFormatting>
  <conditionalFormatting sqref="D10:K11">
    <cfRule type="containsText" dxfId="9" priority="2" operator="containsText" text="The lamp wattage entered is outside the range that can be calculated. Please enter a nominal lamp wattage in accordance with the table below and between 40 and 250.">
      <formula>NOT(ISERROR(SEARCH("The lamp wattage entered is outside the range that can be calculated. Please enter a nominal lamp wattage in accordance with the table below and between 40 and 250.",D10)))</formula>
    </cfRule>
  </conditionalFormatting>
  <conditionalFormatting sqref="D9:K9">
    <cfRule type="containsText" dxfId="8" priority="1" operator="containsText" text="WARNING">
      <formula>NOT(ISERROR(SEARCH("WARNING",D9)))</formula>
    </cfRule>
  </conditionalFormatting>
  <dataValidations count="1">
    <dataValidation type="list" allowBlank="1" showInputMessage="1" showErrorMessage="1" sqref="B8">
      <formula1>$A$32:$A$36</formula1>
    </dataValidation>
  </dataValidations>
  <pageMargins left="0.7" right="0.7" top="0.75" bottom="0.75" header="0.3" footer="0.3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130" zoomScaleNormal="130" workbookViewId="0">
      <selection activeCell="B8" sqref="B8"/>
    </sheetView>
  </sheetViews>
  <sheetFormatPr defaultRowHeight="15" x14ac:dyDescent="0.25"/>
  <cols>
    <col min="1" max="1" width="31.42578125" bestFit="1" customWidth="1"/>
    <col min="2" max="2" width="11" customWidth="1"/>
    <col min="3" max="3" width="9.140625" customWidth="1"/>
    <col min="4" max="4" width="12.42578125" bestFit="1" customWidth="1"/>
    <col min="6" max="6" width="1.7109375" customWidth="1"/>
    <col min="7" max="7" width="11.85546875" customWidth="1"/>
    <col min="8" max="8" width="10.7109375" customWidth="1"/>
    <col min="9" max="9" width="1.7109375" customWidth="1"/>
    <col min="10" max="10" width="11.7109375" bestFit="1" customWidth="1"/>
    <col min="11" max="11" width="11.42578125" customWidth="1"/>
    <col min="12" max="12" width="9.7109375" customWidth="1"/>
    <col min="14" max="14" width="20.140625" bestFit="1" customWidth="1"/>
    <col min="15" max="15" width="11" bestFit="1" customWidth="1"/>
  </cols>
  <sheetData>
    <row r="1" spans="1:18" ht="23.25" x14ac:dyDescent="0.3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x14ac:dyDescent="0.25">
      <c r="A2" s="56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8" ht="4.9000000000000004" customHeight="1" x14ac:dyDescent="0.25"/>
    <row r="4" spans="1:18" x14ac:dyDescent="0.25">
      <c r="A4" s="26" t="s">
        <v>39</v>
      </c>
      <c r="B4" s="27"/>
      <c r="C4" s="27"/>
      <c r="D4" s="3"/>
      <c r="E4" s="3"/>
      <c r="F4" s="3"/>
      <c r="G4" s="3"/>
      <c r="H4" s="3"/>
      <c r="I4" s="3"/>
      <c r="J4" s="3"/>
      <c r="K4" s="3"/>
    </row>
    <row r="5" spans="1:18" ht="6.6" customHeight="1" x14ac:dyDescent="0.25">
      <c r="A5" s="26"/>
      <c r="B5" s="27"/>
      <c r="C5" s="27"/>
      <c r="D5" s="3"/>
      <c r="E5" s="3"/>
      <c r="F5" s="3"/>
      <c r="G5" s="3"/>
      <c r="H5" s="3"/>
      <c r="I5" s="3"/>
      <c r="J5" s="3"/>
      <c r="K5" s="3"/>
    </row>
    <row r="6" spans="1:18" x14ac:dyDescent="0.25">
      <c r="A6" s="21" t="s">
        <v>18</v>
      </c>
      <c r="B6" s="21"/>
      <c r="C6" s="20"/>
      <c r="D6" s="3"/>
      <c r="E6" s="3"/>
      <c r="F6" s="3"/>
      <c r="G6" s="3"/>
      <c r="H6" s="3"/>
      <c r="I6" s="3"/>
      <c r="J6" s="3"/>
      <c r="K6" s="3"/>
    </row>
    <row r="7" spans="1:18" ht="19.5" customHeight="1" x14ac:dyDescent="0.25">
      <c r="A7" s="19"/>
      <c r="B7" s="20"/>
      <c r="C7" s="20"/>
      <c r="D7" s="3"/>
      <c r="E7" s="3"/>
      <c r="F7" s="3"/>
      <c r="G7" s="3"/>
      <c r="H7" s="3"/>
      <c r="I7" s="3"/>
      <c r="J7" s="3"/>
      <c r="K7" s="3"/>
      <c r="R7" t="s">
        <v>46</v>
      </c>
    </row>
    <row r="8" spans="1:18" x14ac:dyDescent="0.25">
      <c r="A8" s="34" t="s">
        <v>25</v>
      </c>
      <c r="B8" s="35">
        <v>75</v>
      </c>
      <c r="C8" s="20" t="s">
        <v>15</v>
      </c>
      <c r="D8" s="55" t="str">
        <f>IF(ISNA(MATCH(B8,B28:J28,0)),"WARNING, Please use nominal wattages listed in * for Low Voltage MR16 lamps.","")</f>
        <v/>
      </c>
      <c r="E8" s="55"/>
      <c r="F8" s="55"/>
      <c r="G8" s="55"/>
      <c r="H8" s="55"/>
      <c r="I8" s="55"/>
      <c r="J8" s="55"/>
      <c r="K8" s="55"/>
      <c r="R8">
        <v>8</v>
      </c>
    </row>
    <row r="9" spans="1:18" x14ac:dyDescent="0.25">
      <c r="A9" s="34" t="s">
        <v>26</v>
      </c>
      <c r="B9" s="35">
        <v>50</v>
      </c>
      <c r="C9" s="20" t="s">
        <v>16</v>
      </c>
      <c r="D9" s="53" t="str">
        <f>IF(AND(B8&lt;=75, B8&gt;=20), "", "The wattage entered is outside the range that can be calculated. Please enter one of a nominal wattage below between 20 and 75.")</f>
        <v/>
      </c>
      <c r="E9" s="54"/>
      <c r="F9" s="54"/>
      <c r="G9" s="54"/>
      <c r="H9" s="54"/>
      <c r="I9" s="54"/>
      <c r="J9" s="54"/>
      <c r="K9" s="54"/>
      <c r="R9">
        <v>9</v>
      </c>
    </row>
    <row r="10" spans="1:18" x14ac:dyDescent="0.25">
      <c r="A10" s="22"/>
      <c r="B10" s="20"/>
      <c r="C10" s="20"/>
      <c r="D10" s="54"/>
      <c r="E10" s="54"/>
      <c r="F10" s="54"/>
      <c r="G10" s="54"/>
      <c r="H10" s="54"/>
      <c r="I10" s="54"/>
      <c r="J10" s="54"/>
      <c r="K10" s="54"/>
      <c r="R10">
        <v>10</v>
      </c>
    </row>
    <row r="11" spans="1:18" ht="17.25" customHeight="1" x14ac:dyDescent="0.25">
      <c r="A11" s="24" t="s">
        <v>12</v>
      </c>
      <c r="B11" s="33">
        <f>IF(AND(B9&lt;=50,B9&gt;=8, B8&lt;=75, B8&gt;=20, D8=""),K15,"See note")</f>
        <v>864.62181220202342</v>
      </c>
      <c r="C11" s="25" t="s">
        <v>13</v>
      </c>
      <c r="D11" s="53" t="str">
        <f>IF(AND(B9&lt;=50, B9&gt;=8), "", "The beam angle entered is outside the range that can be calculated. Please enter a beam angle between 8° and 50°.")</f>
        <v/>
      </c>
      <c r="E11" s="54"/>
      <c r="F11" s="54"/>
      <c r="G11" s="54"/>
      <c r="H11" s="54"/>
      <c r="I11" s="54"/>
      <c r="J11" s="54"/>
      <c r="K11" s="54"/>
      <c r="L11" s="17"/>
      <c r="M11" s="17"/>
      <c r="N11" s="17"/>
      <c r="R11">
        <v>11</v>
      </c>
    </row>
    <row r="12" spans="1:18" x14ac:dyDescent="0.25">
      <c r="A12" s="5"/>
      <c r="D12" s="54"/>
      <c r="E12" s="54"/>
      <c r="F12" s="54"/>
      <c r="G12" s="54"/>
      <c r="H12" s="54"/>
      <c r="I12" s="54"/>
      <c r="J12" s="54"/>
      <c r="K12" s="54"/>
      <c r="R12">
        <v>12</v>
      </c>
    </row>
    <row r="13" spans="1:18" ht="6" customHeight="1" x14ac:dyDescent="0.25">
      <c r="A13" s="5"/>
      <c r="D13" s="3"/>
      <c r="E13" s="3"/>
      <c r="F13" s="3"/>
      <c r="G13" s="3"/>
      <c r="H13" s="3"/>
      <c r="I13" s="3"/>
      <c r="J13" s="3"/>
      <c r="K13" s="3"/>
      <c r="R13">
        <v>15</v>
      </c>
    </row>
    <row r="14" spans="1:18" s="29" customFormat="1" ht="48" x14ac:dyDescent="0.25">
      <c r="A14" s="38" t="s">
        <v>0</v>
      </c>
      <c r="B14" s="40" t="s">
        <v>1</v>
      </c>
      <c r="C14" s="38"/>
      <c r="D14" s="39" t="s">
        <v>2</v>
      </c>
      <c r="E14" s="39" t="s">
        <v>3</v>
      </c>
      <c r="F14" s="38"/>
      <c r="G14" s="39" t="s">
        <v>8</v>
      </c>
      <c r="H14" s="39" t="s">
        <v>7</v>
      </c>
      <c r="I14" s="38"/>
      <c r="J14" s="39" t="s">
        <v>4</v>
      </c>
      <c r="K14" s="39" t="s">
        <v>5</v>
      </c>
      <c r="R14">
        <v>20</v>
      </c>
    </row>
    <row r="15" spans="1:18" s="29" customFormat="1" x14ac:dyDescent="0.25">
      <c r="A15" s="2" t="s">
        <v>6</v>
      </c>
      <c r="B15" s="12">
        <v>8.2926932000000004</v>
      </c>
      <c r="C15" s="31"/>
      <c r="D15" s="28">
        <f>B8</f>
        <v>75</v>
      </c>
      <c r="E15" s="28">
        <f>IF(B9&lt;=50,B9, "ERROR")</f>
        <v>50</v>
      </c>
      <c r="F15" s="1"/>
      <c r="G15" s="16">
        <f>IF(B9&lt;=50, B15+(B16*D15)+(B17*E15)+B18*(D15^2)+B19*(E15^2), "--")</f>
        <v>7.2582881999999991</v>
      </c>
      <c r="H15" s="16">
        <f>IF(B9&lt;=50, G15-2*B20, "--")</f>
        <v>6.7622921999999992</v>
      </c>
      <c r="I15" s="1"/>
      <c r="J15" s="32">
        <f>IF(B9&lt;=50, EXP(G15), "--")</f>
        <v>1419.8240010624754</v>
      </c>
      <c r="K15" s="32">
        <f>IF(B9&lt;=50, EXP(H15), "--")</f>
        <v>864.62181220202342</v>
      </c>
      <c r="R15">
        <v>25</v>
      </c>
    </row>
    <row r="16" spans="1:18" s="29" customFormat="1" x14ac:dyDescent="0.25">
      <c r="A16" s="2" t="s">
        <v>2</v>
      </c>
      <c r="B16" s="12">
        <v>6.8500599999999995E-2</v>
      </c>
      <c r="C16" s="4"/>
      <c r="D16" s="4"/>
      <c r="E16" s="4"/>
      <c r="F16" s="4"/>
      <c r="G16" s="4"/>
      <c r="H16" s="4"/>
      <c r="I16" s="4"/>
      <c r="R16">
        <v>30</v>
      </c>
    </row>
    <row r="17" spans="1:18" s="29" customFormat="1" x14ac:dyDescent="0.25">
      <c r="A17" s="2" t="s">
        <v>3</v>
      </c>
      <c r="B17" s="12">
        <v>-0.10928400000000001</v>
      </c>
      <c r="C17" s="4"/>
      <c r="D17" s="4"/>
      <c r="E17" s="4"/>
      <c r="F17" s="4"/>
      <c r="G17" s="4"/>
      <c r="H17" s="4"/>
      <c r="I17" s="4"/>
      <c r="J17" s="4"/>
      <c r="K17" s="4"/>
      <c r="R17">
        <v>35</v>
      </c>
    </row>
    <row r="18" spans="1:18" s="29" customFormat="1" x14ac:dyDescent="0.25">
      <c r="A18" s="2" t="s">
        <v>9</v>
      </c>
      <c r="B18" s="12">
        <v>-5.1400000000000003E-4</v>
      </c>
      <c r="C18" s="4"/>
      <c r="D18" s="4"/>
      <c r="E18" s="4"/>
      <c r="F18" s="4"/>
      <c r="G18" s="4"/>
      <c r="H18" s="4"/>
      <c r="I18" s="4"/>
      <c r="J18" s="4"/>
      <c r="K18" s="4"/>
      <c r="R18">
        <v>40</v>
      </c>
    </row>
    <row r="19" spans="1:18" s="29" customFormat="1" x14ac:dyDescent="0.25">
      <c r="A19" s="2" t="s">
        <v>10</v>
      </c>
      <c r="B19" s="12">
        <v>8.7339999999999998E-4</v>
      </c>
      <c r="C19" s="4"/>
      <c r="D19" s="4"/>
      <c r="E19" s="4"/>
      <c r="F19" s="4"/>
      <c r="G19" s="4"/>
      <c r="H19" s="4"/>
      <c r="I19" s="4"/>
      <c r="J19" s="4"/>
      <c r="K19" s="4"/>
      <c r="R19">
        <v>45</v>
      </c>
    </row>
    <row r="20" spans="1:18" s="29" customFormat="1" x14ac:dyDescent="0.25">
      <c r="A20" s="8" t="s">
        <v>14</v>
      </c>
      <c r="B20" s="13">
        <v>0.247998</v>
      </c>
      <c r="R20">
        <v>50</v>
      </c>
    </row>
    <row r="21" spans="1:18" x14ac:dyDescent="0.25">
      <c r="H21" s="29"/>
      <c r="I21" s="29"/>
      <c r="J21" s="29"/>
      <c r="K21" s="29"/>
      <c r="L21" s="29"/>
    </row>
    <row r="22" spans="1:18" x14ac:dyDescent="0.25">
      <c r="A22" s="14" t="s">
        <v>31</v>
      </c>
    </row>
    <row r="24" spans="1:18" x14ac:dyDescent="0.25">
      <c r="A24" s="14" t="s">
        <v>29</v>
      </c>
    </row>
    <row r="25" spans="1:18" x14ac:dyDescent="0.25">
      <c r="A25" s="15" t="s">
        <v>30</v>
      </c>
    </row>
    <row r="28" spans="1:18" hidden="1" x14ac:dyDescent="0.25">
      <c r="A28" t="s">
        <v>45</v>
      </c>
      <c r="B28">
        <v>20</v>
      </c>
      <c r="C28">
        <v>30</v>
      </c>
      <c r="D28">
        <v>35</v>
      </c>
      <c r="E28">
        <v>37</v>
      </c>
      <c r="F28">
        <v>42</v>
      </c>
      <c r="G28">
        <v>50</v>
      </c>
      <c r="H28">
        <v>65</v>
      </c>
      <c r="I28">
        <v>71</v>
      </c>
      <c r="J28">
        <v>75</v>
      </c>
    </row>
  </sheetData>
  <sheetProtection algorithmName="SHA-512" hashValue="AS5We1wNYDZN1fkyzzrh9v9Mu3iyHbFZh8D4wNMz/4M+NNeWjE+mlzhDoSF0EvA25Iv0/IzzG5jDY1nWJM5P4Q==" saltValue="iS+g3rWR2uxt4oeMa2ewgw==" spinCount="100000" sheet="1" objects="1" scenarios="1" selectLockedCells="1"/>
  <mergeCells count="5">
    <mergeCell ref="A1:K1"/>
    <mergeCell ref="D11:K12"/>
    <mergeCell ref="D9:K10"/>
    <mergeCell ref="D8:K8"/>
    <mergeCell ref="A2:K2"/>
  </mergeCells>
  <phoneticPr fontId="8" type="noConversion"/>
  <conditionalFormatting sqref="D11">
    <cfRule type="containsText" dxfId="7" priority="9" operator="containsText" text="The beam angle entered is outside the range that can be calculated. Please enter a beam angle between 8° and 50°.">
      <formula>NOT(ISERROR(SEARCH("The beam angle entered is outside the range that can be calculated. Please enter a beam angle between 8° and 50°.",D11)))</formula>
    </cfRule>
  </conditionalFormatting>
  <conditionalFormatting sqref="B11">
    <cfRule type="containsText" dxfId="6" priority="8" operator="containsText" text="See Note">
      <formula>NOT(ISERROR(SEARCH("See Note",B11)))</formula>
    </cfRule>
  </conditionalFormatting>
  <conditionalFormatting sqref="E15">
    <cfRule type="containsText" dxfId="5" priority="7" operator="containsText" text="ERROR">
      <formula>NOT(ISERROR(SEARCH("ERROR",E15)))</formula>
    </cfRule>
  </conditionalFormatting>
  <conditionalFormatting sqref="B11">
    <cfRule type="containsText" dxfId="4" priority="5" operator="containsText" text="See note">
      <formula>NOT(ISERROR(SEARCH("See note",B11)))</formula>
    </cfRule>
    <cfRule type="containsText" dxfId="3" priority="6" operator="containsText" text="Beam angle too large for calculation">
      <formula>NOT(ISERROR(SEARCH("Beam angle too large for calculation",B11)))</formula>
    </cfRule>
  </conditionalFormatting>
  <conditionalFormatting sqref="D9">
    <cfRule type="containsText" dxfId="2" priority="3" operator="containsText" text="The beam angle entered is outside the range that can be calculated. Please enter a beam angle between 8° and 50°.">
      <formula>NOT(ISERROR(SEARCH("The beam angle entered is outside the range that can be calculated. Please enter a beam angle between 8° and 50°.",D9)))</formula>
    </cfRule>
  </conditionalFormatting>
  <conditionalFormatting sqref="D9:K10">
    <cfRule type="containsText" dxfId="1" priority="2" operator="containsText" text="The wattage entered is outside the range that can be calculated. Please enter one of a nominal wattage below between 20 and 75.">
      <formula>NOT(ISERROR(SEARCH("The wattage entered is outside the range that can be calculated. Please enter one of a nominal wattage below between 20 and 75.",D9)))</formula>
    </cfRule>
  </conditionalFormatting>
  <conditionalFormatting sqref="D8">
    <cfRule type="containsText" dxfId="0" priority="1" operator="containsText" text="WARNING">
      <formula>NOT(ISERROR(SEARCH("WARNING",D8)))</formula>
    </cfRule>
  </conditionalFormatting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Voltage Lamps</vt:lpstr>
      <vt:lpstr>Low Voltage MR16 Lamps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2013-08-19T22:05:59Z</dcterms:created>
  <dcterms:modified xsi:type="dcterms:W3CDTF">2016-09-08T21:17:43Z</dcterms:modified>
</cp:coreProperties>
</file>